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<sst xmlns="http://schemas.openxmlformats.org/spreadsheetml/2006/main" count="125" uniqueCount="121">
  <si>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</si>
  <si>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</si>
  <si>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</si>
  <si>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</si>
  <si>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</si>
  <si>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</si>
  <si>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</si>
  <si>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</si>
  <si>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</si>
  <si>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</si>
  <si>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</si>
  <si>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</si>
  <si>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</si>
  <si>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</si>
  <si>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</si>
  <si>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</si>
  <si>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</si>
  <si>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</si>
  <si>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</si>
  <si>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</si>
  <si>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</si>
  <si>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</si>
  <si>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</si>
  <si>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</si>
  <si>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</si>
  <si>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</si>
  <si>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</si>
  <si>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</si>
  <si>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</si>
  <si>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</si>
  <si>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</si>
  <si>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</si>
  <si>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</si>
  <si>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</si>
  <si>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</si>
  <si>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</si>
  <si>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</si>
  <si>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</si>
  <si>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</si>
  <si>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</si>
  <si>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</si>
  <si>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</si>
  <si>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</si>
  <si>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</si>
  <si>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</si>
  <si>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</si>
  <si>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</si>
  <si>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</si>
  <si>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</si>
  <si>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</si>
  <si>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</si>
  <si>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</si>
  <si>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</si>
  <si>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</si>
  <si>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</si>
  <si>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</si>
  <si>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</si>
  <si>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</si>
  <si>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</si>
  <si>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</si>
  <si>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</si>
  <si>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</si>
  <si>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</si>
  <si>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</si>
  <si>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</si>
  <si>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</si>
  <si>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</si>
  <si>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</si>
  <si>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</si>
  <si>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</si>
  <si>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</si>
  <si>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</si>
  <si>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</si>
  <si>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</si>
  <si>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</si>
  <si>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</si>
  <si>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</si>
  <si>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</si>
  <si>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</si>
  <si>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</si>
  <si>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</si>
  <si>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</si>
  <si>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</si>
  <si>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</si>
  <si>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</si>
  <si>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</si>
  <si>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</si>
  <si>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</si>
  <si>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</si>
  <si>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</si>
  <si>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</si>
  <si>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</si>
  <si>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</si>
  <si>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</si>
  <si>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</si>
  <si>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</si>
  <si>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</si>
  <si>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</si>
  <si>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</si>
  <si>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</si>
  <si>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</si>
  <si>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</si>
  <si>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</si>
  <si>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</si>
  <si>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</si>
  <si>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</si>
  <si>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</si>
  <si>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</si>
  <si>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</si>
  <si>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</si>
  <si>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</si>
  <si>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</si>
  <si>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Відсоток виконання до плану 7 місяців</t>
  </si>
  <si>
    <t>Залишок призначень до плану 7 місяців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</si>
  <si>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</si>
  <si>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</si>
  <si>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</si>
  <si>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Капітальний ремонт бульв. Шевченка (від вул. Можайського до вул. Університетська), м. Черкаси (з ПКД)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</si>
  <si>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</si>
  <si>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</si>
  <si>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Профінансовано станом на 05.08.16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</si>
</sst>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zoomScale="70" zoomScaleNormal="70" zoomScaleSheetLayoutView="40" zoomScalePageLayoutView="0" workbookViewId="0" topLeftCell="C1">
      <pane ySplit="7" topLeftCell="BM8" activePane="bottomLeft" state="frozen"/>
      <selection pane="topLeft" activeCell="A1" sqref="A1"/>
      <selection pane="bottomLef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93" t="s">
        <v>10</v>
      </c>
      <c r="B1" s="93"/>
      <c r="C1" s="93"/>
      <c r="D1" s="93"/>
      <c r="E1" s="93"/>
      <c r="F1" s="93"/>
      <c r="G1" s="93"/>
      <c r="H1" s="93"/>
    </row>
    <row r="2" spans="1:8" ht="20.25" customHeight="1">
      <c r="A2" s="94" t="s">
        <v>11</v>
      </c>
      <c r="B2" s="94"/>
      <c r="C2" s="94"/>
      <c r="D2" s="94"/>
      <c r="E2" s="94"/>
      <c r="F2" s="94"/>
      <c r="G2" s="94"/>
      <c r="H2" s="94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6" t="s">
        <v>7</v>
      </c>
      <c r="B4" s="12"/>
      <c r="C4" s="96" t="s">
        <v>13</v>
      </c>
      <c r="D4" s="95" t="s">
        <v>14</v>
      </c>
      <c r="E4" s="95" t="s">
        <v>0</v>
      </c>
      <c r="F4" s="95" t="s">
        <v>1</v>
      </c>
      <c r="G4" s="14" t="s">
        <v>2</v>
      </c>
      <c r="H4" s="95" t="s">
        <v>120</v>
      </c>
      <c r="I4" s="82" t="s">
        <v>41</v>
      </c>
      <c r="J4" s="82" t="s">
        <v>112</v>
      </c>
      <c r="K4" s="87" t="s">
        <v>113</v>
      </c>
      <c r="L4" s="82" t="s">
        <v>42</v>
      </c>
      <c r="M4" s="82" t="s">
        <v>43</v>
      </c>
      <c r="N4" s="82" t="s">
        <v>44</v>
      </c>
      <c r="O4" s="82" t="s">
        <v>45</v>
      </c>
      <c r="P4" s="82" t="s">
        <v>46</v>
      </c>
      <c r="Q4" s="82" t="s">
        <v>47</v>
      </c>
      <c r="R4" s="82" t="s">
        <v>48</v>
      </c>
      <c r="S4" s="82" t="s">
        <v>49</v>
      </c>
      <c r="T4" s="82" t="s">
        <v>50</v>
      </c>
      <c r="U4" s="82" t="s">
        <v>51</v>
      </c>
      <c r="V4" s="82" t="s">
        <v>52</v>
      </c>
      <c r="W4" s="82" t="s">
        <v>53</v>
      </c>
      <c r="X4" s="82" t="s">
        <v>54</v>
      </c>
    </row>
    <row r="5" spans="1:24" ht="55.5" customHeight="1">
      <c r="A5" s="96"/>
      <c r="B5" s="15" t="s">
        <v>8</v>
      </c>
      <c r="C5" s="96"/>
      <c r="D5" s="95"/>
      <c r="E5" s="95"/>
      <c r="F5" s="95"/>
      <c r="G5" s="13" t="s">
        <v>6</v>
      </c>
      <c r="H5" s="95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3"/>
      <c r="K6" s="49"/>
    </row>
    <row r="7" spans="1:25" s="16" customFormat="1" ht="19.5" customHeight="1">
      <c r="A7" s="84" t="s">
        <v>15</v>
      </c>
      <c r="B7" s="85"/>
      <c r="C7" s="85"/>
      <c r="D7" s="85"/>
      <c r="E7" s="85"/>
      <c r="F7" s="85"/>
      <c r="G7" s="85"/>
      <c r="H7" s="85"/>
      <c r="I7" s="86"/>
      <c r="J7" s="72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73070017.44</v>
      </c>
      <c r="I8" s="67">
        <f>H8/D8*100</f>
        <v>49.727566966695505</v>
      </c>
      <c r="J8" s="71">
        <f>H8/(L8+M8+N8+O8+P8+Q8+R8+N25+O25+P25+Q25+R25)*100</f>
        <v>88.61454724183639</v>
      </c>
      <c r="K8" s="64">
        <f>K9+K17</f>
        <v>4607090.06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</f>
        <v>21458967.090000004</v>
      </c>
      <c r="I9" s="23">
        <f>H9/D9*100</f>
        <v>53.98921820148483</v>
      </c>
      <c r="J9" s="69">
        <f>H9/(L8+M8+N8+O8+P8+Q8+R8)*100</f>
        <v>82.32532817108476</v>
      </c>
      <c r="K9" s="23">
        <f>L9+M9+N9+O9+P9+Q9+R9-H10-H11-H12-H13-H14</f>
        <v>2007124.2399999993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6">
        <f>H10/D10*100</f>
        <v>82.61484940506607</v>
      </c>
      <c r="J10" s="90">
        <f>(H10+H11+H12+H13+H14)/(L9+M9+N9+O9+P9+Q9+R9)*100</f>
        <v>88.47466979525272</v>
      </c>
      <c r="K10" s="51">
        <f>E10-H10</f>
        <v>2381591.7799999993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/>
      <c r="J11" s="91"/>
      <c r="K11" s="51">
        <f>E11-H11</f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</f>
        <v>2619392.09</v>
      </c>
      <c r="I12" s="46">
        <f aca="true" t="shared" si="2" ref="I12:I24">H12/D12*100</f>
        <v>72.95456996532333</v>
      </c>
      <c r="J12" s="91"/>
      <c r="K12" s="51">
        <f>E12-H12</f>
        <v>971050.6900000004</v>
      </c>
      <c r="Y12" s="70"/>
    </row>
    <row r="13" spans="1:25" ht="18.75">
      <c r="A13" s="1"/>
      <c r="B13" s="21"/>
      <c r="C13" s="24" t="s">
        <v>114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</f>
        <v>944622</v>
      </c>
      <c r="I13" s="46">
        <f t="shared" si="2"/>
        <v>33.7365</v>
      </c>
      <c r="J13" s="91"/>
      <c r="K13" s="51">
        <f>E13-H13</f>
        <v>1855378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2"/>
        <v>74.5</v>
      </c>
      <c r="J14" s="92"/>
      <c r="K14" s="51">
        <f>E14-H14</f>
        <v>25500</v>
      </c>
      <c r="Y14" s="70"/>
    </row>
    <row r="15" spans="1:25" ht="43.5" customHeight="1">
      <c r="A15" s="1"/>
      <c r="B15" s="21"/>
      <c r="C15" s="24" t="s">
        <v>115</v>
      </c>
      <c r="D15" s="25">
        <f t="shared" si="1"/>
        <v>378405.78</v>
      </c>
      <c r="E15" s="25">
        <v>378405.78</v>
      </c>
      <c r="F15" s="23"/>
      <c r="G15" s="23"/>
      <c r="H15" s="25"/>
      <c r="I15" s="46"/>
      <c r="J15" s="74"/>
      <c r="K15" s="51"/>
      <c r="T15" s="75">
        <v>378405.78</v>
      </c>
      <c r="Y15" s="70"/>
    </row>
    <row r="16" spans="1:25" ht="80.25" customHeight="1">
      <c r="A16" s="1"/>
      <c r="B16" s="21"/>
      <c r="C16" s="24" t="s">
        <v>116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74"/>
      <c r="K16" s="51"/>
      <c r="V16" s="75">
        <v>2000000</v>
      </c>
      <c r="W16" s="75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6051195.58</v>
      </c>
      <c r="I17" s="46">
        <f t="shared" si="2"/>
        <v>49.576800838952295</v>
      </c>
      <c r="J17" s="90">
        <f>H17/(L17+M17+N17+O17+P17+Q17+R17)*100</f>
        <v>69.9466268193771</v>
      </c>
      <c r="K17" s="73">
        <f>L17+M17+N17+O17+P17+Q17+R17-H17</f>
        <v>2599965.8200000003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3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</f>
        <v>2780575.6100000003</v>
      </c>
      <c r="I18" s="47">
        <f>H18/D18*100</f>
        <v>61.60575185554449</v>
      </c>
      <c r="J18" s="91"/>
      <c r="K18" s="63"/>
      <c r="Y18" s="70"/>
    </row>
    <row r="19" spans="1:25" ht="18.75">
      <c r="A19" s="1"/>
      <c r="B19" s="21"/>
      <c r="C19" s="26" t="s">
        <v>23</v>
      </c>
      <c r="D19" s="27">
        <f t="shared" si="3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91"/>
      <c r="K19" s="63"/>
      <c r="Y19" s="70"/>
    </row>
    <row r="20" spans="1:25" ht="18.75">
      <c r="A20" s="1"/>
      <c r="B20" s="21"/>
      <c r="C20" s="26" t="s">
        <v>24</v>
      </c>
      <c r="D20" s="27">
        <f t="shared" si="3"/>
        <v>600300</v>
      </c>
      <c r="E20" s="27">
        <f>655300+25000-300000+220000</f>
        <v>600300</v>
      </c>
      <c r="F20" s="27"/>
      <c r="G20" s="28"/>
      <c r="H20" s="27">
        <f>33430</f>
        <v>33430</v>
      </c>
      <c r="I20" s="47"/>
      <c r="J20" s="91"/>
      <c r="K20" s="63"/>
      <c r="Y20" s="70"/>
    </row>
    <row r="21" spans="1:25" ht="37.5">
      <c r="A21" s="1"/>
      <c r="B21" s="21"/>
      <c r="C21" s="26" t="s">
        <v>25</v>
      </c>
      <c r="D21" s="27">
        <f t="shared" si="3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</f>
        <v>558448.2000000001</v>
      </c>
      <c r="I21" s="47">
        <f t="shared" si="2"/>
        <v>54.26568846564961</v>
      </c>
      <c r="J21" s="91"/>
      <c r="K21" s="63"/>
      <c r="Y21" s="70"/>
    </row>
    <row r="22" spans="1:25" ht="18.75">
      <c r="A22" s="1"/>
      <c r="B22" s="21"/>
      <c r="C22" s="26" t="s">
        <v>26</v>
      </c>
      <c r="D22" s="27">
        <f t="shared" si="3"/>
        <v>301100</v>
      </c>
      <c r="E22" s="27">
        <f>131100+170000</f>
        <v>301100</v>
      </c>
      <c r="F22" s="27"/>
      <c r="G22" s="28"/>
      <c r="H22" s="27">
        <f>48844.8+7632+59492</f>
        <v>115968.8</v>
      </c>
      <c r="I22" s="47"/>
      <c r="J22" s="91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3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2"/>
        <v>18.550778395552026</v>
      </c>
      <c r="J23" s="91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2"/>
        <v>4.788429591174562</v>
      </c>
      <c r="J24" s="92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51611050.349999994</v>
      </c>
      <c r="I25" s="45">
        <f>H25/D25*100</f>
        <v>48.14737589062529</v>
      </c>
      <c r="J25" s="69">
        <f>H25/(L25+M25+N25+O25+P25+Q25+R25)*100</f>
        <v>91.52160040482188</v>
      </c>
      <c r="K25" s="52">
        <f>L25+M25+N25+O25+P25+Q25+R25-H25</f>
        <v>4781156.650000006</v>
      </c>
      <c r="L25" s="62">
        <f aca="true" t="shared" si="4" ref="L25:X25">SUM(L26:L45)</f>
        <v>0</v>
      </c>
      <c r="M25" s="62">
        <f t="shared" si="4"/>
        <v>0</v>
      </c>
      <c r="N25" s="62">
        <f t="shared" si="4"/>
        <v>5770000</v>
      </c>
      <c r="O25" s="62">
        <f t="shared" si="4"/>
        <v>14486801.99</v>
      </c>
      <c r="P25" s="62">
        <f>SUM(P26:P45)</f>
        <v>13603977.01</v>
      </c>
      <c r="Q25" s="62">
        <f t="shared" si="4"/>
        <v>3768235.38</v>
      </c>
      <c r="R25" s="62">
        <f t="shared" si="4"/>
        <v>18763192.62</v>
      </c>
      <c r="S25" s="62">
        <f t="shared" si="4"/>
        <v>24590815.8</v>
      </c>
      <c r="T25" s="62">
        <f t="shared" si="4"/>
        <v>5458318.25</v>
      </c>
      <c r="U25" s="62">
        <f t="shared" si="4"/>
        <v>9026629.57</v>
      </c>
      <c r="V25" s="62">
        <f t="shared" si="4"/>
        <v>4477591.18</v>
      </c>
      <c r="W25" s="62">
        <f t="shared" si="4"/>
        <v>7248339</v>
      </c>
      <c r="X25" s="62">
        <f t="shared" si="4"/>
        <v>107193900.8</v>
      </c>
      <c r="Y25" s="70">
        <f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H26/(L26+M26+N26+O26+P26+Q26+R26)*100</f>
        <v>40.476190476190474</v>
      </c>
      <c r="K26" s="69">
        <f aca="true" t="shared" si="5" ref="K26:K45">L26+M26+N26+O26+P26+Q26+R26-H26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6">
        <f>SUM(L26:W26)</f>
        <v>420000</v>
      </c>
      <c r="Y26" s="77">
        <f>D26-X26</f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6" ref="D27:D42">F27</f>
        <v>40000</v>
      </c>
      <c r="E27" s="30"/>
      <c r="F27" s="32">
        <f aca="true" t="shared" si="7" ref="F27:F42">G27</f>
        <v>40000</v>
      </c>
      <c r="G27" s="32">
        <f>590000-550000</f>
        <v>40000</v>
      </c>
      <c r="H27" s="25"/>
      <c r="I27" s="45"/>
      <c r="J27" s="68"/>
      <c r="K27" s="69">
        <f t="shared" si="5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6">
        <f aca="true" t="shared" si="8" ref="X27:X45">SUM(L27:W27)</f>
        <v>40000</v>
      </c>
      <c r="Y27" s="77">
        <f aca="true" t="shared" si="9" ref="Y27:Y90">D27-X27</f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6"/>
        <v>378000</v>
      </c>
      <c r="E28" s="30"/>
      <c r="F28" s="32">
        <f t="shared" si="7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aca="true" t="shared" si="10" ref="J28:J90">H28/(L28+M28+N28+O28+P28+Q28+R28)*100</f>
        <v>80.2460382165605</v>
      </c>
      <c r="K28" s="69">
        <f t="shared" si="5"/>
        <v>93041.16000000003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6">
        <f t="shared" si="8"/>
        <v>378000</v>
      </c>
      <c r="Y28" s="77">
        <f t="shared" si="9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6"/>
        <v>360000</v>
      </c>
      <c r="E29" s="30"/>
      <c r="F29" s="32">
        <f t="shared" si="7"/>
        <v>360000</v>
      </c>
      <c r="G29" s="32">
        <f>320000+40000</f>
        <v>360000</v>
      </c>
      <c r="H29" s="25">
        <f>20000+15000+230000</f>
        <v>265000</v>
      </c>
      <c r="I29" s="46">
        <f>H29/D29*100</f>
        <v>73.61111111111111</v>
      </c>
      <c r="J29" s="68">
        <f t="shared" si="10"/>
        <v>82.8125</v>
      </c>
      <c r="K29" s="69">
        <f t="shared" si="5"/>
        <v>55000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6">
        <f t="shared" si="8"/>
        <v>360000</v>
      </c>
      <c r="Y29" s="77">
        <f t="shared" si="9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6"/>
        <v>402000</v>
      </c>
      <c r="E30" s="30"/>
      <c r="F30" s="32">
        <f t="shared" si="7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10"/>
        <v>72.8</v>
      </c>
      <c r="K30" s="69">
        <f t="shared" si="5"/>
        <v>68000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6">
        <f t="shared" si="8"/>
        <v>402000</v>
      </c>
      <c r="Y30" s="77">
        <f t="shared" si="9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6"/>
        <v>700000</v>
      </c>
      <c r="E31" s="30"/>
      <c r="F31" s="32">
        <f t="shared" si="7"/>
        <v>700000</v>
      </c>
      <c r="G31" s="32">
        <f>700000</f>
        <v>700000</v>
      </c>
      <c r="H31" s="25"/>
      <c r="I31" s="46"/>
      <c r="J31" s="68">
        <f t="shared" si="10"/>
        <v>0</v>
      </c>
      <c r="K31" s="69">
        <f t="shared" si="5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6">
        <f t="shared" si="8"/>
        <v>700000</v>
      </c>
      <c r="Y31" s="77">
        <f t="shared" si="9"/>
        <v>0</v>
      </c>
    </row>
    <row r="32" spans="1:25" s="4" customFormat="1" ht="24" customHeight="1">
      <c r="A32" s="1"/>
      <c r="B32" s="5"/>
      <c r="C32" s="78" t="s">
        <v>117</v>
      </c>
      <c r="D32" s="32">
        <f t="shared" si="6"/>
        <v>541000</v>
      </c>
      <c r="E32" s="30"/>
      <c r="F32" s="32">
        <f t="shared" si="7"/>
        <v>541000</v>
      </c>
      <c r="G32" s="32">
        <f>291000+250000</f>
        <v>541000</v>
      </c>
      <c r="H32" s="25"/>
      <c r="I32" s="45"/>
      <c r="J32" s="68"/>
      <c r="K32" s="69">
        <f t="shared" si="5"/>
        <v>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6">
        <f t="shared" si="8"/>
        <v>541000</v>
      </c>
      <c r="Y32" s="77">
        <f t="shared" si="9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6"/>
        <v>1050000</v>
      </c>
      <c r="E33" s="30"/>
      <c r="F33" s="32">
        <f t="shared" si="7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10"/>
        <v>98.96803133323444</v>
      </c>
      <c r="K33" s="69">
        <f t="shared" si="5"/>
        <v>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6">
        <f>SUM(L33:W33)</f>
        <v>1050000</v>
      </c>
      <c r="Y33" s="77">
        <f t="shared" si="9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6"/>
        <v>7000000</v>
      </c>
      <c r="E34" s="30"/>
      <c r="F34" s="32">
        <f t="shared" si="7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8">
        <f t="shared" si="10"/>
        <v>11.262798634812286</v>
      </c>
      <c r="K34" s="69">
        <f t="shared" si="5"/>
        <v>2080000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v>100000</v>
      </c>
      <c r="U34" s="43">
        <v>2500000</v>
      </c>
      <c r="V34" s="43"/>
      <c r="W34" s="43"/>
      <c r="X34" s="76">
        <f t="shared" si="8"/>
        <v>7000000</v>
      </c>
      <c r="Y34" s="77">
        <f t="shared" si="9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6"/>
        <v>23000000</v>
      </c>
      <c r="E35" s="30"/>
      <c r="F35" s="32">
        <f t="shared" si="7"/>
        <v>23000000</v>
      </c>
      <c r="G35" s="32">
        <v>23000000</v>
      </c>
      <c r="H35" s="25">
        <f>250000+350000+11000000</f>
        <v>11600000</v>
      </c>
      <c r="I35" s="46">
        <f aca="true" t="shared" si="11" ref="I35:I41">H35/D35*100</f>
        <v>50.43478260869565</v>
      </c>
      <c r="J35" s="68">
        <f t="shared" si="10"/>
        <v>99.31506849315068</v>
      </c>
      <c r="K35" s="69">
        <f t="shared" si="5"/>
        <v>80000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v>820000</v>
      </c>
      <c r="T35" s="43"/>
      <c r="U35" s="43">
        <f>152379.64+3774249.93</f>
        <v>3926629.5700000003</v>
      </c>
      <c r="V35" s="43">
        <v>3073370.4299999997</v>
      </c>
      <c r="W35" s="43">
        <v>3500000</v>
      </c>
      <c r="X35" s="76">
        <f t="shared" si="8"/>
        <v>23000000</v>
      </c>
      <c r="Y35" s="77">
        <f t="shared" si="9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6"/>
        <v>1466600</v>
      </c>
      <c r="E36" s="30"/>
      <c r="F36" s="32">
        <f t="shared" si="7"/>
        <v>1466600</v>
      </c>
      <c r="G36" s="32">
        <f>1281600+185000</f>
        <v>1466600</v>
      </c>
      <c r="H36" s="25">
        <f>80000+35000</f>
        <v>115000</v>
      </c>
      <c r="I36" s="46">
        <f t="shared" si="11"/>
        <v>7.8412655120687305</v>
      </c>
      <c r="J36" s="68">
        <f t="shared" si="10"/>
        <v>16.872065727699532</v>
      </c>
      <c r="K36" s="69">
        <f t="shared" si="5"/>
        <v>566600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</f>
        <v>600000</v>
      </c>
      <c r="T36" s="43"/>
      <c r="U36" s="43">
        <f>50000</f>
        <v>50000</v>
      </c>
      <c r="V36" s="43">
        <f>135000</f>
        <v>135000</v>
      </c>
      <c r="W36" s="43"/>
      <c r="X36" s="76">
        <f t="shared" si="8"/>
        <v>1466600</v>
      </c>
      <c r="Y36" s="77">
        <f t="shared" si="9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6"/>
        <v>49273597</v>
      </c>
      <c r="E37" s="30"/>
      <c r="F37" s="32">
        <f t="shared" si="7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+21300.82+3364200.06</f>
        <v>23060449.880000003</v>
      </c>
      <c r="I37" s="46">
        <f t="shared" si="11"/>
        <v>46.800824952966195</v>
      </c>
      <c r="J37" s="68">
        <f t="shared" si="10"/>
        <v>111.04761013206368</v>
      </c>
      <c r="K37" s="69">
        <f t="shared" si="5"/>
        <v>-2294176.8800000027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</f>
        <v>17118767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</f>
        <v>1000000</v>
      </c>
      <c r="W37" s="43">
        <f>3000000</f>
        <v>3000000</v>
      </c>
      <c r="X37" s="76">
        <f t="shared" si="8"/>
        <v>49273597</v>
      </c>
      <c r="Y37" s="77">
        <f t="shared" si="9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6"/>
        <v>5000000</v>
      </c>
      <c r="E38" s="30"/>
      <c r="F38" s="32">
        <f t="shared" si="7"/>
        <v>5000000</v>
      </c>
      <c r="G38" s="32">
        <v>5000000</v>
      </c>
      <c r="H38" s="25">
        <f>108000+2394100+780000+290000</f>
        <v>3572100</v>
      </c>
      <c r="I38" s="46">
        <f t="shared" si="11"/>
        <v>71.44200000000001</v>
      </c>
      <c r="J38" s="68">
        <f t="shared" si="10"/>
        <v>79.38</v>
      </c>
      <c r="K38" s="69">
        <f t="shared" si="5"/>
        <v>927900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/>
      <c r="U38" s="43"/>
      <c r="V38" s="43"/>
      <c r="W38" s="43">
        <f>500000</f>
        <v>500000</v>
      </c>
      <c r="X38" s="76">
        <f t="shared" si="8"/>
        <v>5000000</v>
      </c>
      <c r="Y38" s="77">
        <f t="shared" si="9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6"/>
        <v>6380000</v>
      </c>
      <c r="E39" s="30"/>
      <c r="F39" s="32">
        <f t="shared" si="7"/>
        <v>6380000</v>
      </c>
      <c r="G39" s="32">
        <f>5000000+1380000</f>
        <v>6380000</v>
      </c>
      <c r="H39" s="25">
        <f>173000+900000+31000+900000+32000+1100000+32000+500000+21466.9+43601.11+16760.29</f>
        <v>3749828.3</v>
      </c>
      <c r="I39" s="46">
        <f t="shared" si="11"/>
        <v>58.774738244514104</v>
      </c>
      <c r="J39" s="68">
        <f t="shared" si="10"/>
        <v>91.05945361826129</v>
      </c>
      <c r="K39" s="69">
        <f t="shared" si="5"/>
        <v>368171.7000000002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6">
        <f t="shared" si="8"/>
        <v>6380000</v>
      </c>
      <c r="Y39" s="77">
        <f t="shared" si="9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6"/>
        <v>1391000</v>
      </c>
      <c r="E40" s="30"/>
      <c r="F40" s="32">
        <f t="shared" si="7"/>
        <v>1391000</v>
      </c>
      <c r="G40" s="32">
        <f>1500000-109000</f>
        <v>1391000</v>
      </c>
      <c r="H40" s="25">
        <f>57000+1000000</f>
        <v>1057000</v>
      </c>
      <c r="I40" s="46">
        <f t="shared" si="11"/>
        <v>75.98849748382459</v>
      </c>
      <c r="J40" s="68">
        <f t="shared" si="10"/>
        <v>70.46666666666667</v>
      </c>
      <c r="K40" s="69">
        <f t="shared" si="5"/>
        <v>443000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6">
        <f t="shared" si="8"/>
        <v>1391000</v>
      </c>
      <c r="Y40" s="77">
        <f t="shared" si="9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6"/>
        <v>1600000</v>
      </c>
      <c r="E41" s="30"/>
      <c r="F41" s="32">
        <f t="shared" si="7"/>
        <v>1600000</v>
      </c>
      <c r="G41" s="32">
        <f>1750000-150000</f>
        <v>1600000</v>
      </c>
      <c r="H41" s="25">
        <f>38000+1037000</f>
        <v>1075000</v>
      </c>
      <c r="I41" s="46">
        <f t="shared" si="11"/>
        <v>67.1875</v>
      </c>
      <c r="J41" s="68">
        <f t="shared" si="10"/>
        <v>100</v>
      </c>
      <c r="K41" s="69">
        <f t="shared" si="5"/>
        <v>0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6">
        <f t="shared" si="8"/>
        <v>1600000</v>
      </c>
      <c r="Y41" s="77">
        <f t="shared" si="9"/>
        <v>0</v>
      </c>
    </row>
    <row r="42" spans="1:25" s="4" customFormat="1" ht="18.75">
      <c r="A42" s="1"/>
      <c r="B42" s="5"/>
      <c r="C42" s="54" t="s">
        <v>109</v>
      </c>
      <c r="D42" s="32">
        <f t="shared" si="6"/>
        <v>89760</v>
      </c>
      <c r="E42" s="30"/>
      <c r="F42" s="32">
        <f t="shared" si="7"/>
        <v>89760</v>
      </c>
      <c r="G42" s="32">
        <v>89760</v>
      </c>
      <c r="H42" s="25"/>
      <c r="I42" s="46"/>
      <c r="J42" s="68"/>
      <c r="K42" s="69">
        <f t="shared" si="5"/>
        <v>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6">
        <f t="shared" si="8"/>
        <v>89760</v>
      </c>
      <c r="Y42" s="77">
        <f t="shared" si="9"/>
        <v>0</v>
      </c>
    </row>
    <row r="43" spans="1:25" s="4" customFormat="1" ht="24" customHeight="1">
      <c r="A43" s="1"/>
      <c r="B43" s="5"/>
      <c r="C43" s="79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10"/>
        <v>79.1342019402985</v>
      </c>
      <c r="K43" s="69">
        <f t="shared" si="5"/>
        <v>1398008.4700000007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6">
        <f t="shared" si="8"/>
        <v>7700000</v>
      </c>
      <c r="Y43" s="77">
        <f t="shared" si="9"/>
        <v>0</v>
      </c>
    </row>
    <row r="44" spans="1:25" s="4" customFormat="1" ht="22.5" customHeight="1">
      <c r="A44" s="1"/>
      <c r="B44" s="5"/>
      <c r="C44" s="79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8">
        <f t="shared" si="10"/>
        <v>100</v>
      </c>
      <c r="K44" s="69">
        <f t="shared" si="5"/>
        <v>0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6">
        <f>SUM(L44:W44)</f>
        <v>145755</v>
      </c>
      <c r="Y44" s="77">
        <f t="shared" si="9"/>
        <v>0</v>
      </c>
    </row>
    <row r="45" spans="1:25" s="4" customFormat="1" ht="22.5" customHeight="1">
      <c r="A45" s="1"/>
      <c r="B45" s="80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10"/>
        <v>99.63008477871985</v>
      </c>
      <c r="K45" s="69">
        <f t="shared" si="5"/>
        <v>951.1999999997788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6">
        <f t="shared" si="8"/>
        <v>256188.79999999958</v>
      </c>
      <c r="Y45" s="77">
        <f t="shared" si="9"/>
        <v>2.3283064365386963E-10</v>
      </c>
    </row>
    <row r="46" spans="1:25" s="16" customFormat="1" ht="24" customHeight="1">
      <c r="A46" s="84" t="s">
        <v>29</v>
      </c>
      <c r="B46" s="85"/>
      <c r="C46" s="85"/>
      <c r="D46" s="85"/>
      <c r="E46" s="85"/>
      <c r="F46" s="85"/>
      <c r="G46" s="85"/>
      <c r="H46" s="85"/>
      <c r="I46" s="85"/>
      <c r="J46" s="68"/>
      <c r="K46" s="52"/>
      <c r="X46" s="66"/>
      <c r="Y46" s="70"/>
    </row>
    <row r="47" spans="1:25" s="16" customFormat="1" ht="36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34153009.78000001</v>
      </c>
      <c r="I47" s="65">
        <f>H47/D47*100</f>
        <v>35.78093115510902</v>
      </c>
      <c r="J47" s="68"/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34153009.78000001</v>
      </c>
      <c r="I48" s="48">
        <f>H48/D48*100</f>
        <v>35.78093115510902</v>
      </c>
      <c r="J48" s="69">
        <f>H48/(L48+M48+N48+O48+P48+Q48+R48)*100</f>
        <v>87.39731402313235</v>
      </c>
      <c r="K48" s="52">
        <f>L48+M48+N48+O48+P48+Q48+R48-H48</f>
        <v>4924861.389999993</v>
      </c>
      <c r="L48" s="61">
        <f>SUM(L49:L100)</f>
        <v>0</v>
      </c>
      <c r="M48" s="61">
        <f aca="true" t="shared" si="12" ref="M48:X48">SUM(M49:M100)</f>
        <v>2416000</v>
      </c>
      <c r="N48" s="61">
        <f>SUM(N49:N100)</f>
        <v>3584000</v>
      </c>
      <c r="O48" s="61">
        <f t="shared" si="12"/>
        <v>640500</v>
      </c>
      <c r="P48" s="61">
        <f t="shared" si="12"/>
        <v>6993995.17</v>
      </c>
      <c r="Q48" s="61">
        <f t="shared" si="12"/>
        <v>14129230</v>
      </c>
      <c r="R48" s="61">
        <f t="shared" si="12"/>
        <v>11314146</v>
      </c>
      <c r="S48" s="61">
        <f t="shared" si="12"/>
        <v>16123470.26</v>
      </c>
      <c r="T48" s="61">
        <f t="shared" si="12"/>
        <v>9594282.61</v>
      </c>
      <c r="U48" s="61">
        <f t="shared" si="12"/>
        <v>14947786.11</v>
      </c>
      <c r="V48" s="61">
        <f t="shared" si="12"/>
        <v>12647784.219999999</v>
      </c>
      <c r="W48" s="61">
        <f>SUM(W49:W100)</f>
        <v>3059115.83</v>
      </c>
      <c r="X48" s="61">
        <f t="shared" si="12"/>
        <v>93470310.2</v>
      </c>
      <c r="Y48" s="70">
        <f t="shared" si="9"/>
        <v>1980000</v>
      </c>
    </row>
    <row r="49" spans="1:25" s="81" customFormat="1" ht="40.5" customHeight="1">
      <c r="A49" s="1"/>
      <c r="B49" s="29"/>
      <c r="C49" s="31" t="s">
        <v>31</v>
      </c>
      <c r="D49" s="32">
        <f aca="true" t="shared" si="13" ref="D49:D89">F49</f>
        <v>768000</v>
      </c>
      <c r="E49" s="30"/>
      <c r="F49" s="25">
        <f aca="true" t="shared" si="14" ref="F49:F100">G49</f>
        <v>768000</v>
      </c>
      <c r="G49" s="32">
        <f>192000+576000</f>
        <v>768000</v>
      </c>
      <c r="H49" s="25">
        <f>81260+1427.14+45242+45091.14+234240.07+85847.68+4174.27</f>
        <v>497282.3</v>
      </c>
      <c r="I49" s="46">
        <f>H49/D49*100</f>
        <v>64.75029947916666</v>
      </c>
      <c r="J49" s="68">
        <f t="shared" si="10"/>
        <v>100.81538076190392</v>
      </c>
      <c r="K49" s="69">
        <f aca="true" t="shared" si="15" ref="K49:K103">L49+M49+N49+O49+P49+Q49+R49-H49</f>
        <v>-4021.9500000000116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/>
      <c r="T49" s="59"/>
      <c r="U49" s="59"/>
      <c r="V49" s="59"/>
      <c r="W49" s="59">
        <f>360739.65-86000</f>
        <v>274739.65</v>
      </c>
      <c r="X49" s="59">
        <f>SUM(L49:W49)</f>
        <v>768000</v>
      </c>
      <c r="Y49" s="77">
        <f t="shared" si="9"/>
        <v>0</v>
      </c>
    </row>
    <row r="50" spans="1:25" s="81" customFormat="1" ht="23.25" customHeight="1">
      <c r="A50" s="1"/>
      <c r="B50" s="29"/>
      <c r="C50" s="56" t="s">
        <v>66</v>
      </c>
      <c r="D50" s="32">
        <f t="shared" si="13"/>
        <v>64000</v>
      </c>
      <c r="E50" s="30"/>
      <c r="F50" s="25">
        <f t="shared" si="14"/>
        <v>64000</v>
      </c>
      <c r="G50" s="32">
        <f>164000-100000</f>
        <v>64000</v>
      </c>
      <c r="H50" s="25"/>
      <c r="I50" s="46"/>
      <c r="J50" s="68">
        <f t="shared" si="10"/>
        <v>0</v>
      </c>
      <c r="K50" s="69">
        <f t="shared" si="15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6" ref="X50:X100">SUM(L50:W50)</f>
        <v>64000</v>
      </c>
      <c r="Y50" s="77">
        <f t="shared" si="9"/>
        <v>0</v>
      </c>
    </row>
    <row r="51" spans="1:25" s="81" customFormat="1" ht="26.25" customHeight="1">
      <c r="A51" s="1"/>
      <c r="B51" s="29"/>
      <c r="C51" s="56" t="s">
        <v>67</v>
      </c>
      <c r="D51" s="32">
        <f t="shared" si="13"/>
        <v>109800</v>
      </c>
      <c r="E51" s="30"/>
      <c r="F51" s="25">
        <f t="shared" si="14"/>
        <v>109800</v>
      </c>
      <c r="G51" s="32">
        <v>109800</v>
      </c>
      <c r="H51" s="25"/>
      <c r="I51" s="46"/>
      <c r="J51" s="68"/>
      <c r="K51" s="69">
        <f t="shared" si="15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6"/>
        <v>109800</v>
      </c>
      <c r="Y51" s="77">
        <f t="shared" si="9"/>
        <v>0</v>
      </c>
    </row>
    <row r="52" spans="1:25" s="81" customFormat="1" ht="40.5" customHeight="1">
      <c r="A52" s="1"/>
      <c r="B52" s="29"/>
      <c r="C52" s="56" t="s">
        <v>68</v>
      </c>
      <c r="D52" s="32">
        <f t="shared" si="13"/>
        <v>25280</v>
      </c>
      <c r="E52" s="30"/>
      <c r="F52" s="25">
        <f t="shared" si="14"/>
        <v>25280</v>
      </c>
      <c r="G52" s="32">
        <v>25280</v>
      </c>
      <c r="H52" s="25"/>
      <c r="I52" s="46"/>
      <c r="J52" s="68">
        <f t="shared" si="10"/>
        <v>0</v>
      </c>
      <c r="K52" s="69">
        <f t="shared" si="15"/>
        <v>25280</v>
      </c>
      <c r="L52" s="59"/>
      <c r="M52" s="59"/>
      <c r="N52" s="59"/>
      <c r="O52" s="59"/>
      <c r="P52" s="59"/>
      <c r="Q52" s="59">
        <v>25280</v>
      </c>
      <c r="R52" s="59"/>
      <c r="S52" s="59"/>
      <c r="T52" s="59"/>
      <c r="U52" s="59"/>
      <c r="V52" s="59"/>
      <c r="W52" s="59"/>
      <c r="X52" s="59">
        <f t="shared" si="16"/>
        <v>25280</v>
      </c>
      <c r="Y52" s="77">
        <f t="shared" si="9"/>
        <v>0</v>
      </c>
    </row>
    <row r="53" spans="1:25" s="81" customFormat="1" ht="24.75" customHeight="1">
      <c r="A53" s="1"/>
      <c r="B53" s="29"/>
      <c r="C53" s="56" t="s">
        <v>69</v>
      </c>
      <c r="D53" s="32">
        <f t="shared" si="13"/>
        <v>600000</v>
      </c>
      <c r="E53" s="30"/>
      <c r="F53" s="25">
        <f t="shared" si="14"/>
        <v>600000</v>
      </c>
      <c r="G53" s="32">
        <v>600000</v>
      </c>
      <c r="H53" s="25"/>
      <c r="I53" s="46"/>
      <c r="J53" s="68"/>
      <c r="K53" s="69">
        <f t="shared" si="15"/>
        <v>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6"/>
        <v>600000</v>
      </c>
      <c r="Y53" s="77">
        <f t="shared" si="9"/>
        <v>0</v>
      </c>
    </row>
    <row r="54" spans="1:25" s="81" customFormat="1" ht="24.75" customHeight="1">
      <c r="A54" s="1"/>
      <c r="B54" s="29"/>
      <c r="C54" s="56" t="s">
        <v>70</v>
      </c>
      <c r="D54" s="32">
        <f t="shared" si="13"/>
        <v>1100000</v>
      </c>
      <c r="E54" s="30"/>
      <c r="F54" s="25">
        <f t="shared" si="14"/>
        <v>1100000</v>
      </c>
      <c r="G54" s="32">
        <f>850000+250000</f>
        <v>1100000</v>
      </c>
      <c r="H54" s="25">
        <f>386615.55</f>
        <v>386615.55</v>
      </c>
      <c r="I54" s="46">
        <f>H54/D54*100</f>
        <v>35.14686818181818</v>
      </c>
      <c r="J54" s="68"/>
      <c r="K54" s="69">
        <f t="shared" si="15"/>
        <v>384.45000000001164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6"/>
        <v>1100000</v>
      </c>
      <c r="Y54" s="77">
        <f t="shared" si="9"/>
        <v>0</v>
      </c>
    </row>
    <row r="55" spans="1:25" s="81" customFormat="1" ht="22.5" customHeight="1">
      <c r="A55" s="1"/>
      <c r="B55" s="29"/>
      <c r="C55" s="56" t="s">
        <v>71</v>
      </c>
      <c r="D55" s="32">
        <f t="shared" si="13"/>
        <v>750000</v>
      </c>
      <c r="E55" s="30"/>
      <c r="F55" s="25">
        <f t="shared" si="14"/>
        <v>750000</v>
      </c>
      <c r="G55" s="32">
        <v>750000</v>
      </c>
      <c r="H55" s="25"/>
      <c r="I55" s="46"/>
      <c r="J55" s="68"/>
      <c r="K55" s="69">
        <f t="shared" si="15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6"/>
        <v>750000</v>
      </c>
      <c r="Y55" s="77">
        <f t="shared" si="9"/>
        <v>0</v>
      </c>
    </row>
    <row r="56" spans="1:25" s="81" customFormat="1" ht="40.5" customHeight="1">
      <c r="A56" s="1"/>
      <c r="B56" s="29"/>
      <c r="C56" s="56" t="s">
        <v>108</v>
      </c>
      <c r="D56" s="32">
        <f t="shared" si="13"/>
        <v>1180000</v>
      </c>
      <c r="E56" s="30"/>
      <c r="F56" s="25">
        <f t="shared" si="14"/>
        <v>1180000</v>
      </c>
      <c r="G56" s="32">
        <f>850000+330000</f>
        <v>1180000</v>
      </c>
      <c r="H56" s="25">
        <f>553277.5+572421.29+39829+2163.95</f>
        <v>1167691.74</v>
      </c>
      <c r="I56" s="46">
        <f>H56/D56*100</f>
        <v>98.95692711864406</v>
      </c>
      <c r="J56" s="68">
        <f t="shared" si="10"/>
        <v>98.95692711864406</v>
      </c>
      <c r="K56" s="69">
        <f t="shared" si="15"/>
        <v>12308.26000000001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6"/>
        <v>1180000</v>
      </c>
      <c r="Y56" s="77">
        <f t="shared" si="9"/>
        <v>0</v>
      </c>
    </row>
    <row r="57" spans="1:25" s="81" customFormat="1" ht="40.5" customHeight="1" hidden="1">
      <c r="A57" s="1"/>
      <c r="B57" s="29"/>
      <c r="C57" s="56" t="s">
        <v>72</v>
      </c>
      <c r="D57" s="32">
        <f t="shared" si="13"/>
        <v>0</v>
      </c>
      <c r="E57" s="30"/>
      <c r="F57" s="25">
        <f t="shared" si="14"/>
        <v>0</v>
      </c>
      <c r="G57" s="32">
        <f>550000-550000</f>
        <v>0</v>
      </c>
      <c r="H57" s="25"/>
      <c r="I57" s="46" t="e">
        <f>H57/D57*100</f>
        <v>#DIV/0!</v>
      </c>
      <c r="J57" s="68" t="e">
        <f t="shared" si="10"/>
        <v>#DIV/0!</v>
      </c>
      <c r="K57" s="69">
        <f t="shared" si="15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6"/>
        <v>0</v>
      </c>
      <c r="Y57" s="77">
        <f t="shared" si="9"/>
        <v>0</v>
      </c>
    </row>
    <row r="58" spans="1:25" s="81" customFormat="1" ht="40.5" customHeight="1">
      <c r="A58" s="1"/>
      <c r="B58" s="29"/>
      <c r="C58" s="56" t="s">
        <v>73</v>
      </c>
      <c r="D58" s="32">
        <f t="shared" si="13"/>
        <v>120000</v>
      </c>
      <c r="E58" s="30"/>
      <c r="F58" s="25">
        <f t="shared" si="14"/>
        <v>120000</v>
      </c>
      <c r="G58" s="32">
        <v>120000</v>
      </c>
      <c r="H58" s="25"/>
      <c r="I58" s="46"/>
      <c r="J58" s="68"/>
      <c r="K58" s="69">
        <f t="shared" si="15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6"/>
        <v>120000</v>
      </c>
      <c r="Y58" s="77">
        <f t="shared" si="9"/>
        <v>0</v>
      </c>
    </row>
    <row r="59" spans="1:25" s="81" customFormat="1" ht="24.75" customHeight="1">
      <c r="A59" s="1"/>
      <c r="B59" s="29"/>
      <c r="C59" s="56" t="s">
        <v>74</v>
      </c>
      <c r="D59" s="32">
        <f t="shared" si="13"/>
        <v>128800</v>
      </c>
      <c r="E59" s="30"/>
      <c r="F59" s="25">
        <f t="shared" si="14"/>
        <v>128800</v>
      </c>
      <c r="G59" s="32">
        <v>128800</v>
      </c>
      <c r="H59" s="25"/>
      <c r="I59" s="46"/>
      <c r="J59" s="68"/>
      <c r="K59" s="69">
        <f t="shared" si="15"/>
        <v>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6"/>
        <v>128800</v>
      </c>
      <c r="Y59" s="77">
        <f t="shared" si="9"/>
        <v>0</v>
      </c>
    </row>
    <row r="60" spans="1:25" s="81" customFormat="1" ht="23.25" customHeight="1">
      <c r="A60" s="1"/>
      <c r="B60" s="29"/>
      <c r="C60" s="56" t="s">
        <v>75</v>
      </c>
      <c r="D60" s="32">
        <f t="shared" si="13"/>
        <v>5000</v>
      </c>
      <c r="E60" s="30"/>
      <c r="F60" s="25">
        <f t="shared" si="14"/>
        <v>5000</v>
      </c>
      <c r="G60" s="32">
        <v>5000</v>
      </c>
      <c r="H60" s="25"/>
      <c r="I60" s="46"/>
      <c r="J60" s="68">
        <f t="shared" si="10"/>
        <v>0</v>
      </c>
      <c r="K60" s="69">
        <f t="shared" si="15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6"/>
        <v>5000</v>
      </c>
      <c r="Y60" s="77">
        <f t="shared" si="9"/>
        <v>0</v>
      </c>
    </row>
    <row r="61" spans="1:25" s="81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 t="shared" si="10"/>
        <v>30</v>
      </c>
      <c r="K61" s="69">
        <f t="shared" si="15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6"/>
        <v>500000</v>
      </c>
      <c r="Y61" s="77">
        <f t="shared" si="9"/>
        <v>0</v>
      </c>
    </row>
    <row r="62" spans="1:25" s="81" customFormat="1" ht="23.25" customHeight="1">
      <c r="A62" s="1"/>
      <c r="B62" s="29"/>
      <c r="C62" s="78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>
        <f t="shared" si="10"/>
        <v>0</v>
      </c>
      <c r="K62" s="69">
        <f t="shared" si="15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6"/>
        <v>200000</v>
      </c>
      <c r="Y62" s="77">
        <f t="shared" si="9"/>
        <v>0</v>
      </c>
    </row>
    <row r="63" spans="1:25" s="81" customFormat="1" ht="24.75" customHeight="1">
      <c r="A63" s="1"/>
      <c r="B63" s="29"/>
      <c r="C63" s="55" t="s">
        <v>76</v>
      </c>
      <c r="D63" s="32">
        <f t="shared" si="13"/>
        <v>120000</v>
      </c>
      <c r="E63" s="30"/>
      <c r="F63" s="25">
        <f t="shared" si="14"/>
        <v>120000</v>
      </c>
      <c r="G63" s="32">
        <v>120000</v>
      </c>
      <c r="H63" s="25"/>
      <c r="I63" s="46"/>
      <c r="J63" s="68"/>
      <c r="K63" s="69">
        <f t="shared" si="15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6"/>
        <v>120000</v>
      </c>
      <c r="Y63" s="77">
        <f t="shared" si="9"/>
        <v>0</v>
      </c>
    </row>
    <row r="64" spans="1:25" s="81" customFormat="1" ht="39.75" customHeight="1">
      <c r="A64" s="1"/>
      <c r="B64" s="29"/>
      <c r="C64" s="56" t="s">
        <v>77</v>
      </c>
      <c r="D64" s="32">
        <f t="shared" si="13"/>
        <v>500</v>
      </c>
      <c r="E64" s="30"/>
      <c r="F64" s="25">
        <f t="shared" si="14"/>
        <v>500</v>
      </c>
      <c r="G64" s="32">
        <v>500</v>
      </c>
      <c r="H64" s="25"/>
      <c r="I64" s="46"/>
      <c r="J64" s="68">
        <f t="shared" si="10"/>
        <v>0</v>
      </c>
      <c r="K64" s="69">
        <f t="shared" si="15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6"/>
        <v>500</v>
      </c>
      <c r="Y64" s="77">
        <f t="shared" si="9"/>
        <v>0</v>
      </c>
    </row>
    <row r="65" spans="1:25" s="81" customFormat="1" ht="24.75" customHeight="1">
      <c r="A65" s="1"/>
      <c r="B65" s="29"/>
      <c r="C65" s="55" t="s">
        <v>78</v>
      </c>
      <c r="D65" s="32">
        <f t="shared" si="13"/>
        <v>50000</v>
      </c>
      <c r="E65" s="30"/>
      <c r="F65" s="25">
        <f t="shared" si="14"/>
        <v>50000</v>
      </c>
      <c r="G65" s="32">
        <v>50000</v>
      </c>
      <c r="H65" s="25"/>
      <c r="I65" s="46"/>
      <c r="J65" s="68">
        <f t="shared" si="10"/>
        <v>0</v>
      </c>
      <c r="K65" s="69">
        <f t="shared" si="15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6"/>
        <v>50000</v>
      </c>
      <c r="Y65" s="77">
        <f t="shared" si="9"/>
        <v>0</v>
      </c>
    </row>
    <row r="66" spans="1:25" s="81" customFormat="1" ht="24.75" customHeight="1">
      <c r="A66" s="1"/>
      <c r="B66" s="29"/>
      <c r="C66" s="31" t="s">
        <v>104</v>
      </c>
      <c r="D66" s="32">
        <f t="shared" si="13"/>
        <v>25000</v>
      </c>
      <c r="E66" s="30"/>
      <c r="F66" s="25">
        <f t="shared" si="14"/>
        <v>25000</v>
      </c>
      <c r="G66" s="32">
        <v>25000</v>
      </c>
      <c r="H66" s="25"/>
      <c r="I66" s="46"/>
      <c r="J66" s="68">
        <f t="shared" si="10"/>
        <v>0</v>
      </c>
      <c r="K66" s="69">
        <f t="shared" si="15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6"/>
        <v>25000</v>
      </c>
      <c r="Y66" s="77">
        <f t="shared" si="9"/>
        <v>0</v>
      </c>
    </row>
    <row r="67" spans="1:25" s="81" customFormat="1" ht="24.75" customHeight="1">
      <c r="A67" s="1"/>
      <c r="B67" s="29"/>
      <c r="C67" s="55" t="s">
        <v>79</v>
      </c>
      <c r="D67" s="32">
        <f t="shared" si="13"/>
        <v>200000</v>
      </c>
      <c r="E67" s="30"/>
      <c r="F67" s="25">
        <f t="shared" si="14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 t="shared" si="10"/>
        <v>44.44444444444444</v>
      </c>
      <c r="K67" s="69">
        <f t="shared" si="15"/>
        <v>75000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6"/>
        <v>200000</v>
      </c>
      <c r="Y67" s="77">
        <f t="shared" si="9"/>
        <v>0</v>
      </c>
    </row>
    <row r="68" spans="1:25" s="81" customFormat="1" ht="24.75" customHeight="1">
      <c r="A68" s="1"/>
      <c r="B68" s="29"/>
      <c r="C68" s="55" t="s">
        <v>80</v>
      </c>
      <c r="D68" s="32">
        <f t="shared" si="13"/>
        <v>200000</v>
      </c>
      <c r="E68" s="30"/>
      <c r="F68" s="25">
        <f t="shared" si="14"/>
        <v>200000</v>
      </c>
      <c r="G68" s="32">
        <v>200000</v>
      </c>
      <c r="H68" s="25"/>
      <c r="I68" s="46"/>
      <c r="J68" s="68">
        <f t="shared" si="10"/>
        <v>0</v>
      </c>
      <c r="K68" s="69">
        <f t="shared" si="15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6"/>
        <v>200000</v>
      </c>
      <c r="Y68" s="77">
        <f t="shared" si="9"/>
        <v>0</v>
      </c>
    </row>
    <row r="69" spans="1:25" s="81" customFormat="1" ht="24.75" customHeight="1">
      <c r="A69" s="1"/>
      <c r="B69" s="29"/>
      <c r="C69" s="55" t="s">
        <v>81</v>
      </c>
      <c r="D69" s="32">
        <f t="shared" si="13"/>
        <v>5300000</v>
      </c>
      <c r="E69" s="30"/>
      <c r="F69" s="25">
        <f t="shared" si="14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/>
      <c r="K69" s="69">
        <f t="shared" si="15"/>
        <v>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6"/>
        <v>5300000</v>
      </c>
      <c r="Y69" s="77">
        <f t="shared" si="9"/>
        <v>0</v>
      </c>
    </row>
    <row r="70" spans="1:25" s="81" customFormat="1" ht="24.75" customHeight="1">
      <c r="A70" s="1"/>
      <c r="B70" s="29"/>
      <c r="C70" s="57" t="s">
        <v>82</v>
      </c>
      <c r="D70" s="32">
        <f t="shared" si="13"/>
        <v>350000</v>
      </c>
      <c r="E70" s="30"/>
      <c r="F70" s="25">
        <f t="shared" si="14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 t="shared" si="10"/>
        <v>30</v>
      </c>
      <c r="K70" s="69">
        <f t="shared" si="15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6"/>
        <v>350000</v>
      </c>
      <c r="Y70" s="77">
        <f t="shared" si="9"/>
        <v>0</v>
      </c>
    </row>
    <row r="71" spans="1:25" s="81" customFormat="1" ht="24.75" customHeight="1">
      <c r="A71" s="1"/>
      <c r="B71" s="29"/>
      <c r="C71" s="56" t="s">
        <v>83</v>
      </c>
      <c r="D71" s="32">
        <f t="shared" si="13"/>
        <v>200000</v>
      </c>
      <c r="E71" s="30"/>
      <c r="F71" s="25">
        <f t="shared" si="14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 t="shared" si="10"/>
        <v>200</v>
      </c>
      <c r="K71" s="69">
        <f t="shared" si="15"/>
        <v>-30000</v>
      </c>
      <c r="L71" s="59"/>
      <c r="M71" s="59"/>
      <c r="N71" s="59">
        <v>60000</v>
      </c>
      <c r="O71" s="59"/>
      <c r="P71" s="59">
        <v>-60000</v>
      </c>
      <c r="Q71" s="59"/>
      <c r="R71" s="59">
        <v>30000</v>
      </c>
      <c r="S71" s="59">
        <f>21967+30000</f>
        <v>51967</v>
      </c>
      <c r="T71" s="59">
        <v>40000</v>
      </c>
      <c r="U71" s="59"/>
      <c r="V71" s="59"/>
      <c r="W71" s="59">
        <v>78033</v>
      </c>
      <c r="X71" s="59">
        <f t="shared" si="16"/>
        <v>200000</v>
      </c>
      <c r="Y71" s="77">
        <f t="shared" si="9"/>
        <v>0</v>
      </c>
    </row>
    <row r="72" spans="1:25" s="81" customFormat="1" ht="24.75" customHeight="1">
      <c r="A72" s="1"/>
      <c r="B72" s="29"/>
      <c r="C72" s="58" t="s">
        <v>84</v>
      </c>
      <c r="D72" s="32">
        <f t="shared" si="13"/>
        <v>250000</v>
      </c>
      <c r="E72" s="30"/>
      <c r="F72" s="25">
        <f t="shared" si="14"/>
        <v>250000</v>
      </c>
      <c r="G72" s="32">
        <v>250000</v>
      </c>
      <c r="H72" s="25"/>
      <c r="I72" s="46"/>
      <c r="J72" s="68"/>
      <c r="K72" s="69">
        <f t="shared" si="15"/>
        <v>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6"/>
        <v>250000</v>
      </c>
      <c r="Y72" s="77">
        <f t="shared" si="9"/>
        <v>0</v>
      </c>
    </row>
    <row r="73" spans="1:25" s="81" customFormat="1" ht="24.75" customHeight="1">
      <c r="A73" s="1"/>
      <c r="B73" s="29"/>
      <c r="C73" s="56" t="s">
        <v>85</v>
      </c>
      <c r="D73" s="32">
        <f t="shared" si="13"/>
        <v>260000</v>
      </c>
      <c r="E73" s="30"/>
      <c r="F73" s="25">
        <f t="shared" si="14"/>
        <v>260000</v>
      </c>
      <c r="G73" s="32">
        <v>260000</v>
      </c>
      <c r="H73" s="25"/>
      <c r="I73" s="46"/>
      <c r="J73" s="68"/>
      <c r="K73" s="69">
        <f t="shared" si="15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6"/>
        <v>260000</v>
      </c>
      <c r="Y73" s="77">
        <f t="shared" si="9"/>
        <v>0</v>
      </c>
    </row>
    <row r="74" spans="1:25" s="81" customFormat="1" ht="24.75" customHeight="1">
      <c r="A74" s="1"/>
      <c r="B74" s="29"/>
      <c r="C74" s="56" t="s">
        <v>102</v>
      </c>
      <c r="D74" s="32">
        <f t="shared" si="13"/>
        <v>150000</v>
      </c>
      <c r="E74" s="30"/>
      <c r="F74" s="25">
        <f t="shared" si="14"/>
        <v>150000</v>
      </c>
      <c r="G74" s="32">
        <v>150000</v>
      </c>
      <c r="H74" s="25"/>
      <c r="I74" s="46"/>
      <c r="J74" s="68"/>
      <c r="K74" s="69">
        <f t="shared" si="15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6"/>
        <v>150000</v>
      </c>
      <c r="Y74" s="77">
        <f t="shared" si="9"/>
        <v>0</v>
      </c>
    </row>
    <row r="75" spans="1:25" s="81" customFormat="1" ht="24.75" customHeight="1">
      <c r="A75" s="1"/>
      <c r="B75" s="29"/>
      <c r="C75" s="56" t="s">
        <v>86</v>
      </c>
      <c r="D75" s="32">
        <f t="shared" si="13"/>
        <v>150000</v>
      </c>
      <c r="E75" s="30"/>
      <c r="F75" s="25">
        <f t="shared" si="14"/>
        <v>150000</v>
      </c>
      <c r="G75" s="32">
        <v>150000</v>
      </c>
      <c r="H75" s="25"/>
      <c r="I75" s="46"/>
      <c r="J75" s="68"/>
      <c r="K75" s="69">
        <f t="shared" si="15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6"/>
        <v>150000</v>
      </c>
      <c r="Y75" s="77">
        <f t="shared" si="9"/>
        <v>0</v>
      </c>
    </row>
    <row r="76" spans="1:25" s="81" customFormat="1" ht="24.75" customHeight="1">
      <c r="A76" s="1"/>
      <c r="B76" s="29"/>
      <c r="C76" s="55" t="s">
        <v>87</v>
      </c>
      <c r="D76" s="32">
        <f t="shared" si="13"/>
        <v>14500000</v>
      </c>
      <c r="E76" s="30"/>
      <c r="F76" s="25">
        <f t="shared" si="14"/>
        <v>14500000</v>
      </c>
      <c r="G76" s="32">
        <f>12500000+2000000</f>
        <v>14500000</v>
      </c>
      <c r="H76" s="25">
        <f>6182.05+6000000</f>
        <v>6006182.05</v>
      </c>
      <c r="I76" s="25">
        <f>H76/D76*100</f>
        <v>41.42194517241379</v>
      </c>
      <c r="J76" s="68">
        <f t="shared" si="10"/>
        <v>98.36231545045402</v>
      </c>
      <c r="K76" s="69">
        <f t="shared" si="15"/>
        <v>100000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/>
      <c r="T76" s="60"/>
      <c r="U76" s="60">
        <f>2000000-100000+2000000</f>
        <v>3900000</v>
      </c>
      <c r="V76" s="60">
        <v>4375000</v>
      </c>
      <c r="W76" s="60">
        <v>118817.95</v>
      </c>
      <c r="X76" s="59">
        <f t="shared" si="16"/>
        <v>14500000</v>
      </c>
      <c r="Y76" s="77">
        <f t="shared" si="9"/>
        <v>0</v>
      </c>
    </row>
    <row r="77" spans="1:25" s="81" customFormat="1" ht="21.75" customHeight="1">
      <c r="A77" s="1"/>
      <c r="B77" s="29"/>
      <c r="C77" s="55" t="s">
        <v>88</v>
      </c>
      <c r="D77" s="32">
        <f t="shared" si="13"/>
        <v>3050000</v>
      </c>
      <c r="E77" s="30"/>
      <c r="F77" s="25">
        <f t="shared" si="14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 t="shared" si="10"/>
        <v>76.18160385496205</v>
      </c>
      <c r="K77" s="69">
        <f t="shared" si="15"/>
        <v>462507.76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>
        <f>687341</f>
        <v>687341</v>
      </c>
      <c r="V77" s="59"/>
      <c r="W77" s="59"/>
      <c r="X77" s="59">
        <f t="shared" si="16"/>
        <v>3050000</v>
      </c>
      <c r="Y77" s="77">
        <f t="shared" si="9"/>
        <v>0</v>
      </c>
    </row>
    <row r="78" spans="1:25" s="81" customFormat="1" ht="18.75" customHeight="1">
      <c r="A78" s="1"/>
      <c r="B78" s="29"/>
      <c r="C78" s="55" t="s">
        <v>89</v>
      </c>
      <c r="D78" s="32">
        <f t="shared" si="13"/>
        <v>3926191</v>
      </c>
      <c r="E78" s="30"/>
      <c r="F78" s="25">
        <f t="shared" si="14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 t="shared" si="10"/>
        <v>116.11303043267098</v>
      </c>
      <c r="K78" s="69">
        <f t="shared" si="15"/>
        <v>-473431.60999999987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6"/>
        <v>3926191</v>
      </c>
      <c r="Y78" s="77">
        <f t="shared" si="9"/>
        <v>0</v>
      </c>
    </row>
    <row r="79" spans="1:25" s="81" customFormat="1" ht="18.75" customHeight="1">
      <c r="A79" s="1"/>
      <c r="B79" s="29"/>
      <c r="C79" s="31" t="s">
        <v>32</v>
      </c>
      <c r="D79" s="32">
        <f t="shared" si="13"/>
        <v>2519000</v>
      </c>
      <c r="E79" s="30"/>
      <c r="F79" s="25">
        <f t="shared" si="14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 t="shared" si="10"/>
        <v>42.981714569273514</v>
      </c>
      <c r="K79" s="69">
        <f t="shared" si="15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6"/>
        <v>2519000</v>
      </c>
      <c r="Y79" s="77">
        <f t="shared" si="9"/>
        <v>0</v>
      </c>
    </row>
    <row r="80" spans="1:25" s="81" customFormat="1" ht="19.5" customHeight="1">
      <c r="A80" s="1"/>
      <c r="B80" s="29"/>
      <c r="C80" s="31" t="s">
        <v>33</v>
      </c>
      <c r="D80" s="32">
        <f t="shared" si="13"/>
        <v>4000000</v>
      </c>
      <c r="E80" s="30"/>
      <c r="F80" s="25">
        <f t="shared" si="14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 t="shared" si="10"/>
        <v>5.931969523809523</v>
      </c>
      <c r="K80" s="69">
        <f t="shared" si="15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6"/>
        <v>4000000</v>
      </c>
      <c r="Y80" s="77">
        <f t="shared" si="9"/>
        <v>0</v>
      </c>
    </row>
    <row r="81" spans="1:25" s="81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>
        <f t="shared" si="10"/>
        <v>0</v>
      </c>
      <c r="K81" s="69">
        <f t="shared" si="15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6"/>
        <v>100000</v>
      </c>
      <c r="Y81" s="77">
        <f t="shared" si="9"/>
        <v>0</v>
      </c>
    </row>
    <row r="82" spans="1:25" s="81" customFormat="1" ht="19.5" customHeight="1">
      <c r="A82" s="1"/>
      <c r="B82" s="29"/>
      <c r="C82" s="31" t="s">
        <v>118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69"/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/>
      <c r="Y82" s="77"/>
    </row>
    <row r="83" spans="1:25" s="81" customFormat="1" ht="19.5" customHeight="1">
      <c r="A83" s="1"/>
      <c r="B83" s="29"/>
      <c r="C83" s="31" t="s">
        <v>119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69"/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/>
      <c r="Y83" s="77"/>
    </row>
    <row r="84" spans="1:25" s="81" customFormat="1" ht="40.5" customHeight="1">
      <c r="A84" s="1"/>
      <c r="B84" s="29"/>
      <c r="C84" s="55" t="s">
        <v>34</v>
      </c>
      <c r="D84" s="32">
        <f t="shared" si="13"/>
        <v>147000</v>
      </c>
      <c r="E84" s="30"/>
      <c r="F84" s="25">
        <f t="shared" si="14"/>
        <v>147000</v>
      </c>
      <c r="G84" s="32">
        <f>462000+385000-700000</f>
        <v>147000</v>
      </c>
      <c r="H84" s="25"/>
      <c r="I84" s="46"/>
      <c r="J84" s="68">
        <f t="shared" si="10"/>
        <v>0</v>
      </c>
      <c r="K84" s="69">
        <f t="shared" si="15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6"/>
        <v>147000</v>
      </c>
      <c r="Y84" s="77">
        <f t="shared" si="9"/>
        <v>0</v>
      </c>
    </row>
    <row r="85" spans="1:25" s="81" customFormat="1" ht="40.5" customHeight="1">
      <c r="A85" s="1"/>
      <c r="B85" s="29"/>
      <c r="C85" s="55" t="s">
        <v>90</v>
      </c>
      <c r="D85" s="32">
        <f t="shared" si="13"/>
        <v>11600000</v>
      </c>
      <c r="E85" s="30"/>
      <c r="F85" s="25">
        <f t="shared" si="14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 t="shared" si="10"/>
        <v>390.4109589041096</v>
      </c>
      <c r="K85" s="69">
        <f t="shared" si="15"/>
        <v>-4240000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</f>
        <v>5760000</v>
      </c>
      <c r="T85" s="59">
        <v>2000000</v>
      </c>
      <c r="U85" s="59">
        <v>1300000</v>
      </c>
      <c r="V85" s="59">
        <v>1000000</v>
      </c>
      <c r="W85" s="59">
        <f>80000</f>
        <v>80000</v>
      </c>
      <c r="X85" s="59">
        <f t="shared" si="16"/>
        <v>11600000</v>
      </c>
      <c r="Y85" s="77">
        <f t="shared" si="9"/>
        <v>0</v>
      </c>
    </row>
    <row r="86" spans="1:25" s="81" customFormat="1" ht="40.5" customHeight="1">
      <c r="A86" s="1"/>
      <c r="B86" s="29"/>
      <c r="C86" s="31" t="s">
        <v>35</v>
      </c>
      <c r="D86" s="32">
        <f t="shared" si="13"/>
        <v>2188000</v>
      </c>
      <c r="E86" s="30"/>
      <c r="F86" s="25">
        <f t="shared" si="14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 t="shared" si="10"/>
        <v>82.10184325215685</v>
      </c>
      <c r="K86" s="69">
        <f t="shared" si="15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6"/>
        <v>2188000</v>
      </c>
      <c r="Y86" s="77">
        <f t="shared" si="9"/>
        <v>0</v>
      </c>
    </row>
    <row r="87" spans="1:25" s="81" customFormat="1" ht="39.75" customHeight="1">
      <c r="A87" s="1"/>
      <c r="B87" s="29"/>
      <c r="C87" s="55" t="s">
        <v>36</v>
      </c>
      <c r="D87" s="32">
        <f t="shared" si="13"/>
        <v>254000</v>
      </c>
      <c r="E87" s="30"/>
      <c r="F87" s="25">
        <f t="shared" si="14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 t="shared" si="10"/>
        <v>44.439665354330714</v>
      </c>
      <c r="K87" s="69">
        <f t="shared" si="15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6"/>
        <v>254000</v>
      </c>
      <c r="Y87" s="77">
        <f t="shared" si="9"/>
        <v>0</v>
      </c>
    </row>
    <row r="88" spans="1:25" s="81" customFormat="1" ht="39.75" customHeight="1">
      <c r="A88" s="1"/>
      <c r="B88" s="29"/>
      <c r="C88" s="55" t="s">
        <v>91</v>
      </c>
      <c r="D88" s="32">
        <f t="shared" si="13"/>
        <v>20000000</v>
      </c>
      <c r="E88" s="30"/>
      <c r="F88" s="25">
        <f t="shared" si="14"/>
        <v>20000000</v>
      </c>
      <c r="G88" s="32">
        <f>16000000+4000000</f>
        <v>20000000</v>
      </c>
      <c r="H88" s="25">
        <f>13429+7850000+306023.62+885285.6+1757858.8+137329.67</f>
        <v>10949926.690000001</v>
      </c>
      <c r="I88" s="46">
        <f>H88/D88*100</f>
        <v>54.749633450000005</v>
      </c>
      <c r="J88" s="68">
        <f t="shared" si="10"/>
        <v>120.48774966989437</v>
      </c>
      <c r="K88" s="69">
        <f t="shared" si="15"/>
        <v>-1861926.6900000013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</f>
        <v>2000000</v>
      </c>
      <c r="T88" s="60">
        <f>1731585.76-912200-170000+1000000</f>
        <v>1649385.76</v>
      </c>
      <c r="U88" s="60">
        <f>3000000-900000-2000000+2000000</f>
        <v>2100000</v>
      </c>
      <c r="V88" s="60">
        <f>3741261.78+1000000</f>
        <v>4741261.779999999</v>
      </c>
      <c r="W88" s="60">
        <f>3421352.46-3000000</f>
        <v>421352.45999999996</v>
      </c>
      <c r="X88" s="59">
        <f t="shared" si="16"/>
        <v>20000000</v>
      </c>
      <c r="Y88" s="77">
        <f t="shared" si="9"/>
        <v>0</v>
      </c>
    </row>
    <row r="89" spans="1:25" s="81" customFormat="1" ht="22.5" customHeight="1">
      <c r="A89" s="1"/>
      <c r="B89" s="29"/>
      <c r="C89" s="31" t="s">
        <v>37</v>
      </c>
      <c r="D89" s="32">
        <f t="shared" si="13"/>
        <v>137000</v>
      </c>
      <c r="E89" s="30"/>
      <c r="F89" s="25">
        <f t="shared" si="14"/>
        <v>137000</v>
      </c>
      <c r="G89" s="32">
        <f>837000-700000</f>
        <v>137000</v>
      </c>
      <c r="H89" s="25"/>
      <c r="I89" s="46"/>
      <c r="J89" s="68"/>
      <c r="K89" s="69">
        <f t="shared" si="15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6"/>
        <v>137000</v>
      </c>
      <c r="Y89" s="77">
        <f t="shared" si="9"/>
        <v>0</v>
      </c>
    </row>
    <row r="90" spans="1:25" s="81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4"/>
        <v>400000</v>
      </c>
      <c r="G90" s="32">
        <f>900000-500000</f>
        <v>400000</v>
      </c>
      <c r="H90" s="25"/>
      <c r="I90" s="46"/>
      <c r="J90" s="68">
        <f t="shared" si="10"/>
        <v>0</v>
      </c>
      <c r="K90" s="69">
        <f t="shared" si="15"/>
        <v>390000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v>10000</v>
      </c>
      <c r="T90" s="59"/>
      <c r="U90" s="59"/>
      <c r="V90" s="59"/>
      <c r="W90" s="59">
        <f>192000-192000</f>
        <v>0</v>
      </c>
      <c r="X90" s="59">
        <f t="shared" si="16"/>
        <v>400000</v>
      </c>
      <c r="Y90" s="77">
        <f t="shared" si="9"/>
        <v>0</v>
      </c>
    </row>
    <row r="91" spans="1:25" s="81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4"/>
        <v>248000</v>
      </c>
      <c r="G91" s="25">
        <v>248000</v>
      </c>
      <c r="H91" s="25"/>
      <c r="I91" s="46"/>
      <c r="J91" s="68"/>
      <c r="K91" s="69">
        <f t="shared" si="15"/>
        <v>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6"/>
        <v>248000</v>
      </c>
      <c r="Y91" s="77">
        <f aca="true" t="shared" si="17" ref="Y91:Y101">D91-X91</f>
        <v>0</v>
      </c>
    </row>
    <row r="92" spans="1:25" s="81" customFormat="1" ht="40.5" customHeight="1">
      <c r="A92" s="1"/>
      <c r="B92" s="29"/>
      <c r="C92" s="55" t="s">
        <v>92</v>
      </c>
      <c r="D92" s="32">
        <f aca="true" t="shared" si="18" ref="D92:D100">F92</f>
        <v>10545999.2</v>
      </c>
      <c r="E92" s="6"/>
      <c r="F92" s="25">
        <f t="shared" si="14"/>
        <v>10545999.2</v>
      </c>
      <c r="G92" s="32">
        <f>13000000-2454000.8</f>
        <v>10545999.2</v>
      </c>
      <c r="H92" s="25"/>
      <c r="I92" s="46"/>
      <c r="J92" s="68">
        <f aca="true" t="shared" si="19" ref="J92:J101">H92/(L92+M92+N92+O92+P92+Q92+R92)*100</f>
        <v>0</v>
      </c>
      <c r="K92" s="69">
        <f t="shared" si="15"/>
        <v>2383146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</f>
        <v>5725000</v>
      </c>
      <c r="T92" s="60">
        <f>470000+29854</f>
        <v>499854</v>
      </c>
      <c r="U92" s="60">
        <f>1000000+507000+1000000-569000.8</f>
        <v>1937999.2</v>
      </c>
      <c r="V92" s="60">
        <f>1000000-1000000</f>
        <v>0</v>
      </c>
      <c r="W92" s="60">
        <f>855000+30000-885000</f>
        <v>0</v>
      </c>
      <c r="X92" s="59">
        <f t="shared" si="16"/>
        <v>10545999.2</v>
      </c>
      <c r="Y92" s="77">
        <f t="shared" si="17"/>
        <v>0</v>
      </c>
    </row>
    <row r="93" spans="1:25" s="81" customFormat="1" ht="40.5" customHeight="1">
      <c r="A93" s="1"/>
      <c r="B93" s="29"/>
      <c r="C93" s="55" t="s">
        <v>93</v>
      </c>
      <c r="D93" s="32">
        <f t="shared" si="18"/>
        <v>3585100</v>
      </c>
      <c r="E93" s="6"/>
      <c r="F93" s="25">
        <f t="shared" si="14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 t="shared" si="19"/>
        <v>19.730828453595354</v>
      </c>
      <c r="K93" s="69">
        <f t="shared" si="15"/>
        <v>2340009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140000</v>
      </c>
      <c r="S93" s="59"/>
      <c r="T93" s="59">
        <v>669150</v>
      </c>
      <c r="U93" s="59"/>
      <c r="V93" s="59"/>
      <c r="W93" s="59">
        <f>747.37</f>
        <v>747.37</v>
      </c>
      <c r="X93" s="59">
        <f t="shared" si="16"/>
        <v>3585100</v>
      </c>
      <c r="Y93" s="77">
        <f t="shared" si="17"/>
        <v>0</v>
      </c>
    </row>
    <row r="94" spans="1:25" s="81" customFormat="1" ht="40.5" customHeight="1">
      <c r="A94" s="1"/>
      <c r="B94" s="29"/>
      <c r="C94" s="55" t="s">
        <v>94</v>
      </c>
      <c r="D94" s="32">
        <f t="shared" si="18"/>
        <v>300000</v>
      </c>
      <c r="E94" s="6"/>
      <c r="F94" s="25">
        <f t="shared" si="14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8">
        <f t="shared" si="19"/>
        <v>52.195734597156395</v>
      </c>
      <c r="K94" s="69">
        <f t="shared" si="15"/>
        <v>100867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6"/>
        <v>300000</v>
      </c>
      <c r="Y94" s="77">
        <f t="shared" si="17"/>
        <v>0</v>
      </c>
    </row>
    <row r="95" spans="1:25" s="81" customFormat="1" ht="40.5" customHeight="1">
      <c r="A95" s="1"/>
      <c r="B95" s="29"/>
      <c r="C95" s="55" t="s">
        <v>95</v>
      </c>
      <c r="D95" s="32">
        <f t="shared" si="18"/>
        <v>300000</v>
      </c>
      <c r="E95" s="6"/>
      <c r="F95" s="25">
        <f t="shared" si="14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 t="shared" si="19"/>
        <v>99.90636363636364</v>
      </c>
      <c r="K95" s="69">
        <f t="shared" si="15"/>
        <v>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6"/>
        <v>300000</v>
      </c>
      <c r="Y95" s="77">
        <f t="shared" si="17"/>
        <v>0</v>
      </c>
    </row>
    <row r="96" spans="1:25" s="81" customFormat="1" ht="40.5" customHeight="1">
      <c r="A96" s="1"/>
      <c r="B96" s="29"/>
      <c r="C96" s="55" t="s">
        <v>96</v>
      </c>
      <c r="D96" s="32">
        <f t="shared" si="18"/>
        <v>538000</v>
      </c>
      <c r="E96" s="6"/>
      <c r="F96" s="25">
        <f t="shared" si="14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 t="shared" si="19"/>
        <v>40.0531776504298</v>
      </c>
      <c r="K96" s="69">
        <f t="shared" si="15"/>
        <v>209214.41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6"/>
        <v>538000</v>
      </c>
      <c r="Y96" s="77">
        <f t="shared" si="17"/>
        <v>0</v>
      </c>
    </row>
    <row r="97" spans="1:25" s="81" customFormat="1" ht="21" customHeight="1">
      <c r="A97" s="1"/>
      <c r="B97" s="29"/>
      <c r="C97" s="55" t="s">
        <v>97</v>
      </c>
      <c r="D97" s="32">
        <f t="shared" si="18"/>
        <v>5000</v>
      </c>
      <c r="E97" s="6"/>
      <c r="F97" s="25">
        <f t="shared" si="14"/>
        <v>5000</v>
      </c>
      <c r="G97" s="32">
        <v>5000</v>
      </c>
      <c r="H97" s="25"/>
      <c r="I97" s="46"/>
      <c r="J97" s="68">
        <f t="shared" si="19"/>
        <v>0</v>
      </c>
      <c r="K97" s="69">
        <f t="shared" si="15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6"/>
        <v>5000</v>
      </c>
      <c r="Y97" s="77">
        <f t="shared" si="17"/>
        <v>0</v>
      </c>
    </row>
    <row r="98" spans="1:25" s="81" customFormat="1" ht="26.25" customHeight="1">
      <c r="A98" s="1"/>
      <c r="B98" s="29"/>
      <c r="C98" s="55" t="s">
        <v>98</v>
      </c>
      <c r="D98" s="32">
        <f t="shared" si="18"/>
        <v>20640</v>
      </c>
      <c r="E98" s="6"/>
      <c r="F98" s="25">
        <f t="shared" si="14"/>
        <v>20640</v>
      </c>
      <c r="G98" s="32">
        <v>20640</v>
      </c>
      <c r="H98" s="25"/>
      <c r="I98" s="46"/>
      <c r="J98" s="68"/>
      <c r="K98" s="69">
        <f t="shared" si="15"/>
        <v>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6"/>
        <v>20640</v>
      </c>
      <c r="Y98" s="77">
        <f t="shared" si="17"/>
        <v>0</v>
      </c>
    </row>
    <row r="99" spans="1:25" s="81" customFormat="1" ht="22.5" customHeight="1">
      <c r="A99" s="1"/>
      <c r="B99" s="29"/>
      <c r="C99" s="56" t="s">
        <v>99</v>
      </c>
      <c r="D99" s="32">
        <f t="shared" si="18"/>
        <v>250000</v>
      </c>
      <c r="E99" s="6"/>
      <c r="F99" s="25">
        <f t="shared" si="14"/>
        <v>250000</v>
      </c>
      <c r="G99" s="32">
        <v>250000</v>
      </c>
      <c r="H99" s="25"/>
      <c r="I99" s="46"/>
      <c r="J99" s="68"/>
      <c r="K99" s="69">
        <f t="shared" si="15"/>
        <v>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6"/>
        <v>250000</v>
      </c>
      <c r="Y99" s="77">
        <f t="shared" si="17"/>
        <v>0</v>
      </c>
    </row>
    <row r="100" spans="1:25" s="81" customFormat="1" ht="22.5" customHeight="1">
      <c r="A100" s="1"/>
      <c r="B100" s="29"/>
      <c r="C100" s="55" t="s">
        <v>100</v>
      </c>
      <c r="D100" s="32">
        <f t="shared" si="18"/>
        <v>2050000</v>
      </c>
      <c r="E100" s="6"/>
      <c r="F100" s="25">
        <f t="shared" si="14"/>
        <v>2050000</v>
      </c>
      <c r="G100" s="32">
        <f>50000+2000000</f>
        <v>2050000</v>
      </c>
      <c r="H100" s="25"/>
      <c r="I100" s="46"/>
      <c r="J100" s="68"/>
      <c r="K100" s="69">
        <f t="shared" si="15"/>
        <v>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6"/>
        <v>2050000</v>
      </c>
      <c r="Y100" s="77">
        <f t="shared" si="17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107223027.22</v>
      </c>
      <c r="I101" s="44">
        <f>H101/D101*100</f>
        <v>44.235569110704546</v>
      </c>
      <c r="J101" s="68">
        <f t="shared" si="19"/>
        <v>88.22316666371351</v>
      </c>
      <c r="K101" s="52">
        <f t="shared" si="15"/>
        <v>14313108.100000009</v>
      </c>
      <c r="L101" s="20">
        <f aca="true" t="shared" si="20" ref="L101:X101">L8+L25+L48</f>
        <v>112816</v>
      </c>
      <c r="M101" s="20">
        <f t="shared" si="20"/>
        <v>3716000</v>
      </c>
      <c r="N101" s="20">
        <f t="shared" si="20"/>
        <v>13054000</v>
      </c>
      <c r="O101" s="20">
        <f t="shared" si="20"/>
        <v>23627301.990000002</v>
      </c>
      <c r="P101" s="20">
        <f t="shared" si="20"/>
        <v>25067943.939999998</v>
      </c>
      <c r="Q101" s="20">
        <f t="shared" si="20"/>
        <v>23413655.38</v>
      </c>
      <c r="R101" s="20">
        <f t="shared" si="20"/>
        <v>32544418.01</v>
      </c>
      <c r="S101" s="20">
        <f t="shared" si="20"/>
        <v>43613908.06</v>
      </c>
      <c r="T101" s="20">
        <f t="shared" si="20"/>
        <v>17271941.64</v>
      </c>
      <c r="U101" s="20">
        <f t="shared" si="20"/>
        <v>25527859.68</v>
      </c>
      <c r="V101" s="20">
        <f t="shared" si="20"/>
        <v>19530661.509999998</v>
      </c>
      <c r="W101" s="20">
        <f t="shared" si="20"/>
        <v>14910468.69</v>
      </c>
      <c r="X101" s="20">
        <f t="shared" si="20"/>
        <v>240410974.89999998</v>
      </c>
      <c r="Y101" s="70">
        <f t="shared" si="17"/>
        <v>1980000</v>
      </c>
    </row>
    <row r="102" spans="1:11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 t="shared" si="15"/>
        <v>0</v>
      </c>
    </row>
    <row r="103" spans="1:11" ht="18.75" hidden="1">
      <c r="A103" s="2"/>
      <c r="B103" s="35"/>
      <c r="C103" s="36"/>
      <c r="D103" s="3"/>
      <c r="E103" s="35"/>
      <c r="F103" s="35"/>
      <c r="K103" s="52">
        <f t="shared" si="15"/>
        <v>0</v>
      </c>
    </row>
  </sheetData>
  <sheetProtection/>
  <mergeCells count="28">
    <mergeCell ref="J10:J14"/>
    <mergeCell ref="J17:J24"/>
    <mergeCell ref="A46:I46"/>
    <mergeCell ref="A1:H1"/>
    <mergeCell ref="A2:H2"/>
    <mergeCell ref="H4:H5"/>
    <mergeCell ref="A4:A5"/>
    <mergeCell ref="C4:C5"/>
    <mergeCell ref="D4:D5"/>
    <mergeCell ref="E4:E5"/>
    <mergeCell ref="I4:I5"/>
    <mergeCell ref="A7:I7"/>
    <mergeCell ref="L4:L5"/>
    <mergeCell ref="K4:K5"/>
    <mergeCell ref="J4:J6"/>
    <mergeCell ref="F4:F5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2016-08-04T13:11:39Z</cp:lastPrinted>
  <dcterms:created xsi:type="dcterms:W3CDTF">2014-01-17T10:52:16Z</dcterms:created>
  <dcterms:modified xsi:type="dcterms:W3CDTF">2016-08-05T12:28:26Z</dcterms:modified>
  <cp:category/>
  <cp:version/>
  <cp:contentType/>
  <cp:contentStatus/>
</cp:coreProperties>
</file>